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cker" sheetId="1" r:id="rId1"/>
    <sheet name="Summary" sheetId="2" r:id="rId2"/>
    <sheet name="Instructions" sheetId="3" r:id="rId3"/>
  </sheets>
  <definedNames>
    <definedName name="Month1">Tracker!$AM$4</definedName>
    <definedName name="_xlnm.Print_Area" localSheetId="0">Tracker!$A$1:$AJ$20</definedName>
    <definedName name="Today">Tracker!$AL$4</definedName>
  </definedNames>
  <calcPr calcId="124519" fullCalcOnLoad="1"/>
</workbook>
</file>

<file path=xl/sharedStrings.xml><?xml version="1.0" encoding="utf-8"?>
<sst xmlns="http://schemas.openxmlformats.org/spreadsheetml/2006/main" count="154" uniqueCount="48">
  <si>
    <t>Habit tracker</t>
  </si>
  <si>
    <t>Pick ✓ from the drop-down (or type x) on each day you kept the habit. Goal is days per month.</t>
  </si>
  <si>
    <t>Month</t>
  </si>
  <si>
    <t>Review date</t>
  </si>
  <si>
    <t>Leave both empty to use this month and today.</t>
  </si>
  <si>
    <t>Habit</t>
  </si>
  <si>
    <t>Goal</t>
  </si>
  <si>
    <t>Done</t>
  </si>
  <si>
    <t>Of goal</t>
  </si>
  <si>
    <t>Last 7 days</t>
  </si>
  <si>
    <t>Walk 8,000 steps</t>
  </si>
  <si>
    <t>✓</t>
  </si>
  <si>
    <t>Read 20 minutes</t>
  </si>
  <si>
    <t>No phone after 10 pm</t>
  </si>
  <si>
    <t>Drink 2 litres of water</t>
  </si>
  <si>
    <t>Stretch or yoga</t>
  </si>
  <si>
    <t>Practice Spanish</t>
  </si>
  <si>
    <t>Cook dinner at home</t>
  </si>
  <si>
    <t>Journal</t>
  </si>
  <si>
    <t>Check-ins</t>
  </si>
  <si>
    <t>Habit summary</t>
  </si>
  <si>
    <t>HABITS</t>
  </si>
  <si>
    <t>ON TRACK</t>
  </si>
  <si>
    <t>THIS MONTH</t>
  </si>
  <si>
    <t>LAST 7 DAYS</t>
  </si>
  <si>
    <t>Habits</t>
  </si>
  <si>
    <t>Last 7</t>
  </si>
  <si>
    <t>By day</t>
  </si>
  <si>
    <t>Day</t>
  </si>
  <si>
    <t>On track = done so far is at least the goal × the share of the month that has passed. A new month: change the month on Tracker and clear the ticks, or keep a copy per month.</t>
  </si>
  <si>
    <t>Habit tracker / start here</t>
  </si>
  <si>
    <t>Mint cells are inputs. White cells are calculated; edit the source rows instead.</t>
  </si>
  <si>
    <t>1  HABITS</t>
  </si>
  <si>
    <t>Write up to 12 habits on Tracker and a goal: how many days this month you want to do each one.</t>
  </si>
  <si>
    <t>2  CHECK IN</t>
  </si>
  <si>
    <t>Each day, pick ✓ from the drop-down (or type x) in the cells for the habits you kept. Today's column is highlighted.</t>
  </si>
  <si>
    <t>3  REVIEW</t>
  </si>
  <si>
    <t>Done, Of goal and Last 7 days update as you go. Summary shows which habits are on track.</t>
  </si>
  <si>
    <t>NEW MONTH</t>
  </si>
  <si>
    <t>Download a copy to keep this month, then change Month and clear the ticks. Or duplicate the sheet.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</si>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</sst>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5">
    <numFmt numFmtId="164" formatCode="yyyy-mm-dd"/>
    <numFmt numFmtId="165" formatCode="d"/>
    <numFmt numFmtId="166" formatCode="#,##0"/>
    <numFmt numFmtId="167" formatCode="0.0%"/>
    <numFmt numFmtId="168" formatCode="mmm d"/>
  </numFmts>
  <fonts count="12">
    <font>
      <sz val="11"/>
      <color theme="1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sz val="11"/>
      <color rgb="FF203E35"/>
      <name val="Calibri"/>
      <family val="2"/>
      <scheme val="minor"/>
    </font>
    <font>
      <sz val="11"/>
      <color rgb="FF185F4C"/>
      <name val="Calibri"/>
      <family val="2"/>
      <scheme val="minor"/>
    </font>
    <font>
      <sz val="8"/>
      <color rgb="FF61786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85F4C"/>
      <name val="Calibri"/>
      <family val="2"/>
      <scheme val="minor"/>
    </font>
    <font>
      <b/>
      <sz val="11"/>
      <color rgb="FF203E35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F6FBF8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E1ECE5"/>
      </left>
      <right style="thin">
        <color rgb="FFE1ECE5"/>
      </right>
      <top style="thin">
        <color rgb="FFE1ECE5"/>
      </top>
      <bottom style="thin">
        <color rgb="FFE1ECE5"/>
      </bottom>
      <diagonal/>
    </border>
    <border>
      <left/>
      <right/>
      <top style="thin">
        <color rgb="FF164B3D"/>
      </top>
      <bottom/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8" fillId="0" borderId="3" xfId="0" applyFont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0" fontId="9" fillId="5" borderId="4" xfId="0" applyFont="1" applyFill="1" applyBorder="1" applyAlignment="1">
      <alignment horizontal="left" vertical="center" indent="1"/>
    </xf>
    <xf numFmtId="0" fontId="9" fillId="6" borderId="5" xfId="0" applyFont="1" applyFill="1" applyBorder="1" applyAlignment="1">
      <alignment horizontal="left" vertical="center" indent="1"/>
    </xf>
    <xf numFmtId="0" fontId="9" fillId="7" borderId="6" xfId="0" applyFont="1" applyFill="1" applyBorder="1" applyAlignment="1">
      <alignment horizontal="left" vertical="center" indent="1"/>
    </xf>
    <xf numFmtId="0" fontId="9" fillId="8" borderId="7" xfId="0" applyFont="1" applyFill="1" applyBorder="1" applyAlignment="1">
      <alignment horizontal="left" vertical="center" indent="1"/>
    </xf>
    <xf numFmtId="166" fontId="10" fillId="5" borderId="8" xfId="0" applyNumberFormat="1" applyFont="1" applyFill="1" applyBorder="1" applyAlignment="1">
      <alignment horizontal="left" vertical="center" indent="1"/>
    </xf>
    <xf numFmtId="166" fontId="10" fillId="6" borderId="9" xfId="0" applyNumberFormat="1" applyFont="1" applyFill="1" applyBorder="1" applyAlignment="1">
      <alignment horizontal="left" vertical="center" indent="1"/>
    </xf>
    <xf numFmtId="167" fontId="10" fillId="7" borderId="10" xfId="0" applyNumberFormat="1" applyFont="1" applyFill="1" applyBorder="1" applyAlignment="1">
      <alignment horizontal="left" vertical="center" indent="1"/>
    </xf>
    <xf numFmtId="166" fontId="10" fillId="8" borderId="11" xfId="0" applyNumberFormat="1" applyFont="1" applyFill="1" applyBorder="1" applyAlignment="1">
      <alignment horizontal="left" vertical="center" indent="1"/>
    </xf>
    <xf numFmtId="0" fontId="2" fillId="5" borderId="12" xfId="0" applyFont="1" applyFill="1" applyBorder="1" applyAlignment="1">
      <alignment horizontal="left" vertical="center" indent="1" wrapText="1"/>
    </xf>
    <xf numFmtId="0" fontId="2" fillId="6" borderId="13" xfId="0" applyFont="1" applyFill="1" applyBorder="1" applyAlignment="1">
      <alignment horizontal="left" vertical="center" indent="1" wrapText="1"/>
    </xf>
    <xf numFmtId="0" fontId="2" fillId="7" borderId="14" xfId="0" applyFont="1" applyFill="1" applyBorder="1" applyAlignment="1">
      <alignment horizontal="left" vertical="center" indent="1" wrapText="1"/>
    </xf>
    <xf numFmtId="0" fontId="2" fillId="8" borderId="15" xfId="0" applyFont="1" applyFill="1" applyBorder="1" applyAlignment="1">
      <alignment horizontal="left" vertical="center" indent="1" wrapText="1"/>
    </xf>
    <xf numFmtId="0" fontId="2" fillId="0" borderId="0" xfId="0" applyFont="1" applyAlignment="1">
      <alignment vertical="top" wrapText="1"/>
    </xf>
    <xf numFmtId="0" fontId="11" fillId="9" borderId="16" xfId="0" applyFont="1" applyFill="1" applyBorder="1" applyAlignment="1">
      <alignment vertical="center"/>
    </xf>
    <xf numFmtId="168" fontId="3" fillId="0" borderId="0" xfId="0" applyNumberFormat="1" applyFont="1" applyAlignment="1">
      <alignment vertical="center"/>
    </xf>
  </cellXfs>
  <cellStyles count="1">
    <cellStyle name="Normal" xfId="0" builtinId="0"/>
  </cellStyles>
  <dxfs count="4">
    <dxf>
      <font>
        <color rgb="FF123D32"/>
      </font>
      <fill>
        <patternFill>
          <bgColor rgb="FF7FC6A0"/>
        </patternFill>
      </fill>
    </dxf>
    <dxf>
      <font>
        <color rgb="FFFFFFFF"/>
      </font>
      <fill>
        <patternFill>
          <bgColor rgb="FFFFFFFF"/>
        </patternFill>
      </fill>
    </dxf>
    <dxf>
      <fill>
        <patternFill>
          <bgColor rgb="FFFFF2C7"/>
        </patternFill>
      </fill>
    </dxf>
    <dxf>
      <fill>
        <patternFill>
          <bgColor rgb="FFEEF2E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Progress toward monthly goal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Of goal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Summary!$A$26:$A$33</c:f>
              <c:strCache>
                <c:ptCount val="8"/>
                <c:pt idx="0">
                  <c:v>Walk 8,000 steps</c:v>
                </c:pt>
                <c:pt idx="1">
                  <c:v>Read 20 minutes</c:v>
                </c:pt>
                <c:pt idx="2">
                  <c:v>No phone after 10 pm</c:v>
                </c:pt>
                <c:pt idx="3">
                  <c:v>Drink 2 litres of water</c:v>
                </c:pt>
                <c:pt idx="4">
                  <c:v>Stretch or yoga</c:v>
                </c:pt>
                <c:pt idx="5">
                  <c:v>Practice Spanish</c:v>
                </c:pt>
                <c:pt idx="6">
                  <c:v>Cook dinner at home</c:v>
                </c:pt>
                <c:pt idx="7">
                  <c:v>Journal</c:v>
                </c:pt>
              </c:strCache>
            </c:strRef>
          </c:cat>
          <c:val>
            <c:numRef>
              <c:f>Summary!$F$26:$F$33</c:f>
              <c:numCache>
                <c:formatCode>General</c:formatCode>
                <c:ptCount val="8"/>
                <c:pt idx="0">
                  <c:v>0.64</c:v>
                </c:pt>
                <c:pt idx="1">
                  <c:v>0.6</c:v>
                </c:pt>
                <c:pt idx="2">
                  <c:v>0.65</c:v>
                </c:pt>
                <c:pt idx="3">
                  <c:v>0.6428571428571429</c:v>
                </c:pt>
                <c:pt idx="4">
                  <c:v>0.5</c:v>
                </c:pt>
                <c:pt idx="5">
                  <c:v>0.6</c:v>
                </c:pt>
                <c:pt idx="6">
                  <c:v>0.7222222222222222</c:v>
                </c:pt>
                <c:pt idx="7">
                  <c:v>0.6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l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b"/>
        <c:majorGridlines>
          <c:spPr>
            <a:ln>
              <a:solidFill>
                <a:srgbClr val="E6EEE9"/>
              </a:solidFill>
            </a:ln>
          </c:spPr>
        </c:majorGridlines>
        <c:numFmt formatCode="0%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Check-ins per day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Check-ins</c:v>
          </c:tx>
          <c:spPr>
            <a:solidFill>
              <a:srgbClr val="7894B7"/>
            </a:solidFill>
            <a:ln>
              <a:noFill/>
            </a:ln>
          </c:spPr>
          <c:cat>
            <c:numRef>
              <c:f>Summary!$I$26:$I$56</c:f>
              <c:numCache>
                <c:formatCode>General</c:formatCode>
                <c:ptCount val="31"/>
                <c:pt idx="0">
                  <c:v>46296.0</c:v>
                </c:pt>
                <c:pt idx="1">
                  <c:v>46297.0</c:v>
                </c:pt>
                <c:pt idx="2">
                  <c:v>46298.0</c:v>
                </c:pt>
                <c:pt idx="3">
                  <c:v>46299.0</c:v>
                </c:pt>
                <c:pt idx="4">
                  <c:v>46300.0</c:v>
                </c:pt>
                <c:pt idx="5">
                  <c:v>46301.0</c:v>
                </c:pt>
                <c:pt idx="6">
                  <c:v>46302.0</c:v>
                </c:pt>
                <c:pt idx="7">
                  <c:v>46303.0</c:v>
                </c:pt>
                <c:pt idx="8">
                  <c:v>46304.0</c:v>
                </c:pt>
                <c:pt idx="9">
                  <c:v>46305.0</c:v>
                </c:pt>
                <c:pt idx="10">
                  <c:v>46306.0</c:v>
                </c:pt>
                <c:pt idx="11">
                  <c:v>46307.0</c:v>
                </c:pt>
                <c:pt idx="12">
                  <c:v>46308.0</c:v>
                </c:pt>
                <c:pt idx="13">
                  <c:v>46309.0</c:v>
                </c:pt>
                <c:pt idx="14">
                  <c:v>46310.0</c:v>
                </c:pt>
                <c:pt idx="15">
                  <c:v>46311.0</c:v>
                </c:pt>
                <c:pt idx="16">
                  <c:v>46312.0</c:v>
                </c:pt>
                <c:pt idx="17">
                  <c:v>46313.0</c:v>
                </c:pt>
                <c:pt idx="18">
                  <c:v>46314.0</c:v>
                </c:pt>
                <c:pt idx="19">
                  <c:v>46315.0</c:v>
                </c:pt>
                <c:pt idx="20">
                  <c:v>46316.0</c:v>
                </c:pt>
                <c:pt idx="21">
                  <c:v>46317.0</c:v>
                </c:pt>
                <c:pt idx="22">
                  <c:v>46318.0</c:v>
                </c:pt>
                <c:pt idx="23">
                  <c:v>46319.0</c:v>
                </c:pt>
                <c:pt idx="24">
                  <c:v>46320.0</c:v>
                </c:pt>
                <c:pt idx="25">
                  <c:v>46321.0</c:v>
                </c:pt>
                <c:pt idx="26">
                  <c:v>46322.0</c:v>
                </c:pt>
                <c:pt idx="27">
                  <c:v>46323.0</c:v>
                </c:pt>
                <c:pt idx="28">
                  <c:v>46324.0</c:v>
                </c:pt>
                <c:pt idx="29">
                  <c:v>46325.0</c:v>
                </c:pt>
                <c:pt idx="30">
                  <c:v>46326.0</c:v>
                </c:pt>
              </c:numCache>
            </c:numRef>
          </c:cat>
          <c:val>
            <c:numRef>
              <c:f>Summary!$K$26:$K$56</c:f>
              <c:numCache>
                <c:formatCode>General</c:formatCode>
                <c:ptCount val="31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  <c:pt idx="5">
                  <c:v>6</c:v>
                </c:pt>
                <c:pt idx="6">
                  <c:v>3</c:v>
                </c:pt>
                <c:pt idx="7">
                  <c:v>3</c:v>
                </c:pt>
                <c:pt idx="8">
                  <c:v>5</c:v>
                </c:pt>
                <c:pt idx="9">
                  <c:v>5</c:v>
                </c:pt>
                <c:pt idx="10">
                  <c:v>8</c:v>
                </c:pt>
                <c:pt idx="11">
                  <c:v>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0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21" customHeight="1" x14ac:dyDescent="0.25"/>
  <cols>
    <col min="1" max="1" width="26.7109375" customWidth="1"/>
    <col min="2" max="2" width="7.7109375" customWidth="1"/>
    <col min="3" max="33" width="4" customWidth="1"/>
    <col min="34" max="36" width="9.7109375" customWidth="1"/>
    <col min="38" max="39" width="10.7109375" hidden="1" customWidth="1"/>
  </cols>
  <sheetData>
    <row r="1" spans="1:39" ht="3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9" ht="21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4" spans="1:39" ht="21" customHeight="1" x14ac:dyDescent="0.25">
      <c r="A4" s="3" t="s">
        <v>2</v>
      </c>
      <c r="B4" s="4">
        <v>46296</v>
      </c>
      <c r="C4" s="4"/>
      <c r="D4" s="4"/>
      <c r="E4" s="4"/>
      <c r="F4" s="4"/>
      <c r="H4" s="3" t="s">
        <v>3</v>
      </c>
      <c r="L4" s="4">
        <v>46315</v>
      </c>
      <c r="M4" s="4"/>
      <c r="N4" s="4"/>
      <c r="O4" s="4"/>
      <c r="P4" s="4"/>
      <c r="R4" s="2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L4" s="5">
        <f>IF(ISNUMBER(L4),L4,TODAY())</f>
        <v>46315.0</v>
      </c>
      <c r="AM4" s="5">
        <f>IF(ISNUMBER(B4),DATE(YEAR(B4),MONTH(B4),1),DATE(YEAR(AL4),MONTH(AL4),1))</f>
        <v>46296.0</v>
      </c>
    </row>
    <row r="5" spans="1:39" ht="21" customHeight="1" x14ac:dyDescent="0.25">
      <c r="C5" s="6" t="str">
        <f>IF(MONTH(Month1+0)=MONTH(Month1),LEFT(TEXT(Month1+0,"ddd"),1),"")</f>
        <v>T</v>
      </c>
      <c r="D5" s="6" t="str">
        <f>IF(MONTH(Month1+1)=MONTH(Month1),LEFT(TEXT(Month1+1,"ddd"),1),"")</f>
        <v>F</v>
      </c>
      <c r="E5" s="6" t="str">
        <f>IF(MONTH(Month1+2)=MONTH(Month1),LEFT(TEXT(Month1+2,"ddd"),1),"")</f>
        <v>S</v>
      </c>
      <c r="F5" s="6" t="str">
        <f>IF(MONTH(Month1+3)=MONTH(Month1),LEFT(TEXT(Month1+3,"ddd"),1),"")</f>
        <v>S</v>
      </c>
      <c r="G5" s="6" t="str">
        <f>IF(MONTH(Month1+4)=MONTH(Month1),LEFT(TEXT(Month1+4,"ddd"),1),"")</f>
        <v>M</v>
      </c>
      <c r="H5" s="6" t="str">
        <f>IF(MONTH(Month1+5)=MONTH(Month1),LEFT(TEXT(Month1+5,"ddd"),1),"")</f>
        <v>T</v>
      </c>
      <c r="I5" s="6" t="str">
        <f>IF(MONTH(Month1+6)=MONTH(Month1),LEFT(TEXT(Month1+6,"ddd"),1),"")</f>
        <v>W</v>
      </c>
      <c r="J5" s="6" t="str">
        <f>IF(MONTH(Month1+7)=MONTH(Month1),LEFT(TEXT(Month1+7,"ddd"),1),"")</f>
        <v>T</v>
      </c>
      <c r="K5" s="6" t="str">
        <f>IF(MONTH(Month1+8)=MONTH(Month1),LEFT(TEXT(Month1+8,"ddd"),1),"")</f>
        <v>F</v>
      </c>
      <c r="L5" s="6" t="str">
        <f>IF(MONTH(Month1+9)=MONTH(Month1),LEFT(TEXT(Month1+9,"ddd"),1),"")</f>
        <v>S</v>
      </c>
      <c r="M5" s="6" t="str">
        <f>IF(MONTH(Month1+10)=MONTH(Month1),LEFT(TEXT(Month1+10,"ddd"),1),"")</f>
        <v>S</v>
      </c>
      <c r="N5" s="6" t="str">
        <f>IF(MONTH(Month1+11)=MONTH(Month1),LEFT(TEXT(Month1+11,"ddd"),1),"")</f>
        <v>M</v>
      </c>
      <c r="O5" s="6" t="str">
        <f>IF(MONTH(Month1+12)=MONTH(Month1),LEFT(TEXT(Month1+12,"ddd"),1),"")</f>
        <v>T</v>
      </c>
      <c r="P5" s="6" t="str">
        <f>IF(MONTH(Month1+13)=MONTH(Month1),LEFT(TEXT(Month1+13,"ddd"),1),"")</f>
        <v>W</v>
      </c>
      <c r="Q5" s="6" t="str">
        <f>IF(MONTH(Month1+14)=MONTH(Month1),LEFT(TEXT(Month1+14,"ddd"),1),"")</f>
        <v>T</v>
      </c>
      <c r="R5" s="6" t="str">
        <f>IF(MONTH(Month1+15)=MONTH(Month1),LEFT(TEXT(Month1+15,"ddd"),1),"")</f>
        <v>F</v>
      </c>
      <c r="S5" s="6" t="str">
        <f>IF(MONTH(Month1+16)=MONTH(Month1),LEFT(TEXT(Month1+16,"ddd"),1),"")</f>
        <v>S</v>
      </c>
      <c r="T5" s="6" t="str">
        <f>IF(MONTH(Month1+17)=MONTH(Month1),LEFT(TEXT(Month1+17,"ddd"),1),"")</f>
        <v>S</v>
      </c>
      <c r="U5" s="6" t="str">
        <f>IF(MONTH(Month1+18)=MONTH(Month1),LEFT(TEXT(Month1+18,"ddd"),1),"")</f>
        <v>M</v>
      </c>
      <c r="V5" s="6" t="str">
        <f>IF(MONTH(Month1+19)=MONTH(Month1),LEFT(TEXT(Month1+19,"ddd"),1),"")</f>
        <v>T</v>
      </c>
      <c r="W5" s="6" t="str">
        <f>IF(MONTH(Month1+20)=MONTH(Month1),LEFT(TEXT(Month1+20,"ddd"),1),"")</f>
        <v>W</v>
      </c>
      <c r="X5" s="6" t="str">
        <f>IF(MONTH(Month1+21)=MONTH(Month1),LEFT(TEXT(Month1+21,"ddd"),1),"")</f>
        <v>T</v>
      </c>
      <c r="Y5" s="6" t="str">
        <f>IF(MONTH(Month1+22)=MONTH(Month1),LEFT(TEXT(Month1+22,"ddd"),1),"")</f>
        <v>F</v>
      </c>
      <c r="Z5" s="6" t="str">
        <f>IF(MONTH(Month1+23)=MONTH(Month1),LEFT(TEXT(Month1+23,"ddd"),1),"")</f>
        <v>S</v>
      </c>
      <c r="AA5" s="6" t="str">
        <f>IF(MONTH(Month1+24)=MONTH(Month1),LEFT(TEXT(Month1+24,"ddd"),1),"")</f>
        <v>S</v>
      </c>
      <c r="AB5" s="6" t="str">
        <f>IF(MONTH(Month1+25)=MONTH(Month1),LEFT(TEXT(Month1+25,"ddd"),1),"")</f>
        <v>M</v>
      </c>
      <c r="AC5" s="6" t="str">
        <f>IF(MONTH(Month1+26)=MONTH(Month1),LEFT(TEXT(Month1+26,"ddd"),1),"")</f>
        <v>T</v>
      </c>
      <c r="AD5" s="6" t="str">
        <f>IF(MONTH(Month1+27)=MONTH(Month1),LEFT(TEXT(Month1+27,"ddd"),1),"")</f>
        <v>W</v>
      </c>
      <c r="AE5" s="6" t="str">
        <f>IF(MONTH(Month1+28)=MONTH(Month1),LEFT(TEXT(Month1+28,"ddd"),1),"")</f>
        <v>T</v>
      </c>
      <c r="AF5" s="6" t="str">
        <f>IF(MONTH(Month1+29)=MONTH(Month1),LEFT(TEXT(Month1+29,"ddd"),1),"")</f>
        <v>F</v>
      </c>
      <c r="AG5" s="6" t="str">
        <f>IF(MONTH(Month1+30)=MONTH(Month1),LEFT(TEXT(Month1+30,"ddd"),1),"")</f>
        <v>S</v>
      </c>
    </row>
    <row r="6" spans="1:39" ht="21" customHeight="1" x14ac:dyDescent="0.25">
      <c r="C6" s="7">
        <f>IF(MONTH(Month1+0)=MONTH(Month1),Month1+0,"")</f>
        <v>46296.0</v>
      </c>
      <c r="D6" s="7">
        <f>IF(MONTH(Month1+1)=MONTH(Month1),Month1+1,"")</f>
        <v>46297.0</v>
      </c>
      <c r="E6" s="7">
        <f>IF(MONTH(Month1+2)=MONTH(Month1),Month1+2,"")</f>
        <v>46298.0</v>
      </c>
      <c r="F6" s="7">
        <f>IF(MONTH(Month1+3)=MONTH(Month1),Month1+3,"")</f>
        <v>46299.0</v>
      </c>
      <c r="G6" s="7">
        <f>IF(MONTH(Month1+4)=MONTH(Month1),Month1+4,"")</f>
        <v>46300.0</v>
      </c>
      <c r="H6" s="7">
        <f>IF(MONTH(Month1+5)=MONTH(Month1),Month1+5,"")</f>
        <v>46301.0</v>
      </c>
      <c r="I6" s="7">
        <f>IF(MONTH(Month1+6)=MONTH(Month1),Month1+6,"")</f>
        <v>46302.0</v>
      </c>
      <c r="J6" s="7">
        <f>IF(MONTH(Month1+7)=MONTH(Month1),Month1+7,"")</f>
        <v>46303.0</v>
      </c>
      <c r="K6" s="7">
        <f>IF(MONTH(Month1+8)=MONTH(Month1),Month1+8,"")</f>
        <v>46304.0</v>
      </c>
      <c r="L6" s="7">
        <f>IF(MONTH(Month1+9)=MONTH(Month1),Month1+9,"")</f>
        <v>46305.0</v>
      </c>
      <c r="M6" s="7">
        <f>IF(MONTH(Month1+10)=MONTH(Month1),Month1+10,"")</f>
        <v>46306.0</v>
      </c>
      <c r="N6" s="7">
        <f>IF(MONTH(Month1+11)=MONTH(Month1),Month1+11,"")</f>
        <v>46307.0</v>
      </c>
      <c r="O6" s="7">
        <f>IF(MONTH(Month1+12)=MONTH(Month1),Month1+12,"")</f>
        <v>46308.0</v>
      </c>
      <c r="P6" s="7">
        <f>IF(MONTH(Month1+13)=MONTH(Month1),Month1+13,"")</f>
        <v>46309.0</v>
      </c>
      <c r="Q6" s="7">
        <f>IF(MONTH(Month1+14)=MONTH(Month1),Month1+14,"")</f>
        <v>46310.0</v>
      </c>
      <c r="R6" s="7">
        <f>IF(MONTH(Month1+15)=MONTH(Month1),Month1+15,"")</f>
        <v>46311.0</v>
      </c>
      <c r="S6" s="7">
        <f>IF(MONTH(Month1+16)=MONTH(Month1),Month1+16,"")</f>
        <v>46312.0</v>
      </c>
      <c r="T6" s="7">
        <f>IF(MONTH(Month1+17)=MONTH(Month1),Month1+17,"")</f>
        <v>46313.0</v>
      </c>
      <c r="U6" s="7">
        <f>IF(MONTH(Month1+18)=MONTH(Month1),Month1+18,"")</f>
        <v>46314.0</v>
      </c>
      <c r="V6" s="7">
        <f>IF(MONTH(Month1+19)=MONTH(Month1),Month1+19,"")</f>
        <v>46315.0</v>
      </c>
      <c r="W6" s="7">
        <f>IF(MONTH(Month1+20)=MONTH(Month1),Month1+20,"")</f>
        <v>46316.0</v>
      </c>
      <c r="X6" s="7">
        <f>IF(MONTH(Month1+21)=MONTH(Month1),Month1+21,"")</f>
        <v>46317.0</v>
      </c>
      <c r="Y6" s="7">
        <f>IF(MONTH(Month1+22)=MONTH(Month1),Month1+22,"")</f>
        <v>46318.0</v>
      </c>
      <c r="Z6" s="7">
        <f>IF(MONTH(Month1+23)=MONTH(Month1),Month1+23,"")</f>
        <v>46319.0</v>
      </c>
      <c r="AA6" s="7">
        <f>IF(MONTH(Month1+24)=MONTH(Month1),Month1+24,"")</f>
        <v>46320.0</v>
      </c>
      <c r="AB6" s="7">
        <f>IF(MONTH(Month1+25)=MONTH(Month1),Month1+25,"")</f>
        <v>46321.0</v>
      </c>
      <c r="AC6" s="7">
        <f>IF(MONTH(Month1+26)=MONTH(Month1),Month1+26,"")</f>
        <v>46322.0</v>
      </c>
      <c r="AD6" s="7">
        <f>IF(MONTH(Month1+27)=MONTH(Month1),Month1+27,"")</f>
        <v>46323.0</v>
      </c>
      <c r="AE6" s="7">
        <f>IF(MONTH(Month1+28)=MONTH(Month1),Month1+28,"")</f>
        <v>46324.0</v>
      </c>
      <c r="AF6" s="7">
        <f>IF(MONTH(Month1+29)=MONTH(Month1),Month1+29,"")</f>
        <v>46325.0</v>
      </c>
      <c r="AG6" s="7">
        <f>IF(MONTH(Month1+30)=MONTH(Month1),Month1+30,"")</f>
        <v>46326.0</v>
      </c>
    </row>
    <row r="7" spans="1:39" ht="26" customHeight="1" x14ac:dyDescent="0.25">
      <c r="A7" s="8" t="s">
        <v>5</v>
      </c>
      <c r="B7" s="8" t="s">
        <v>6</v>
      </c>
      <c r="AH7" s="8" t="s">
        <v>7</v>
      </c>
      <c r="AI7" s="8" t="s">
        <v>8</v>
      </c>
      <c r="AJ7" s="8" t="s">
        <v>9</v>
      </c>
    </row>
    <row r="8" spans="1:39" ht="20" customHeight="1" x14ac:dyDescent="0.25">
      <c r="A8" s="9" t="s">
        <v>10</v>
      </c>
      <c r="B8" s="10">
        <v>25</v>
      </c>
      <c r="C8" s="11" t="s">
        <v>11</v>
      </c>
      <c r="D8" s="11" t="s">
        <v>11</v>
      </c>
      <c r="E8" s="11"/>
      <c r="F8" s="11" t="s">
        <v>11</v>
      </c>
      <c r="G8" s="11" t="s">
        <v>11</v>
      </c>
      <c r="H8" s="11" t="s">
        <v>11</v>
      </c>
      <c r="I8" s="11" t="s">
        <v>11</v>
      </c>
      <c r="J8" s="11"/>
      <c r="K8" s="11" t="s">
        <v>11</v>
      </c>
      <c r="L8" s="11" t="s">
        <v>11</v>
      </c>
      <c r="M8" s="11" t="s">
        <v>11</v>
      </c>
      <c r="N8" s="11" t="s">
        <v>11</v>
      </c>
      <c r="O8" s="11" t="s">
        <v>11</v>
      </c>
      <c r="P8" s="11"/>
      <c r="Q8" s="11" t="s">
        <v>11</v>
      </c>
      <c r="R8" s="11"/>
      <c r="S8" s="11" t="s">
        <v>11</v>
      </c>
      <c r="T8" s="11" t="s">
        <v>11</v>
      </c>
      <c r="U8" s="11" t="s">
        <v>11</v>
      </c>
      <c r="V8" s="11" t="s">
        <v>11</v>
      </c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2">
        <f>IF(A8="","",(COUNTIF(C8:AG8,"✓")+COUNTIF(C8:AG8,"x")))</f>
        <v>16</v>
      </c>
      <c r="AI8" s="13">
        <f>IF(OR(A8="",N(B8)=0),"",AH8/B8)</f>
        <v>0.64</v>
      </c>
      <c r="AJ8" s="12">
        <f>IF(A8="","",COUNTIFS(C8:AG8,"✓",$C$6:$AG$6,"&gt;"&amp;(Today-7),$C$6:$AG$6,"&lt;="&amp;Today)+COUNTIFS(C8:AG8,"x",$C$6:$AG$6,"&gt;"&amp;(Today-7),$C$6:$AG$6,"&lt;="&amp;Today))</f>
        <v>5</v>
      </c>
    </row>
    <row r="9" spans="1:39" ht="20" customHeight="1" x14ac:dyDescent="0.25">
      <c r="A9" s="9" t="s">
        <v>12</v>
      </c>
      <c r="B9" s="10">
        <v>20</v>
      </c>
      <c r="C9" s="11"/>
      <c r="D9" s="11"/>
      <c r="E9" s="11" t="s">
        <v>11</v>
      </c>
      <c r="F9" s="11" t="s">
        <v>11</v>
      </c>
      <c r="G9" s="11" t="s">
        <v>11</v>
      </c>
      <c r="H9" s="11"/>
      <c r="I9" s="11"/>
      <c r="J9" s="11" t="s">
        <v>11</v>
      </c>
      <c r="K9" s="11" t="s">
        <v>11</v>
      </c>
      <c r="L9" s="11" t="s">
        <v>11</v>
      </c>
      <c r="M9" s="11" t="s">
        <v>11</v>
      </c>
      <c r="N9" s="11"/>
      <c r="O9" s="11"/>
      <c r="P9" s="11" t="s">
        <v>11</v>
      </c>
      <c r="Q9" s="11" t="s">
        <v>11</v>
      </c>
      <c r="R9" s="11" t="s">
        <v>11</v>
      </c>
      <c r="S9" s="11"/>
      <c r="T9" s="11"/>
      <c r="U9" s="11" t="s">
        <v>11</v>
      </c>
      <c r="V9" s="11" t="s">
        <v>11</v>
      </c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2">
        <f>IF(A9="","",(COUNTIF(C9:AG9,"✓")+COUNTIF(C9:AG9,"x")))</f>
        <v>12</v>
      </c>
      <c r="AI9" s="13">
        <f>IF(OR(A9="",N(B9)=0),"",AH9/B9)</f>
        <v>0.6</v>
      </c>
      <c r="AJ9" s="12">
        <f>IF(A9="","",COUNTIFS(C9:AG9,"✓",$C$6:$AG$6,"&gt;"&amp;(Today-7),$C$6:$AG$6,"&lt;="&amp;Today)+COUNTIFS(C9:AG9,"x",$C$6:$AG$6,"&gt;"&amp;(Today-7),$C$6:$AG$6,"&lt;="&amp;Today))</f>
        <v>5</v>
      </c>
    </row>
    <row r="10" spans="1:39" ht="20" customHeight="1" x14ac:dyDescent="0.25">
      <c r="A10" s="9" t="s">
        <v>13</v>
      </c>
      <c r="B10" s="10">
        <v>20</v>
      </c>
      <c r="C10" s="11" t="s">
        <v>11</v>
      </c>
      <c r="D10" s="11"/>
      <c r="E10" s="11"/>
      <c r="F10" s="11" t="s">
        <v>11</v>
      </c>
      <c r="G10" s="11" t="s">
        <v>11</v>
      </c>
      <c r="H10" s="11" t="s">
        <v>11</v>
      </c>
      <c r="I10" s="11"/>
      <c r="J10" s="11"/>
      <c r="K10" s="11" t="s">
        <v>11</v>
      </c>
      <c r="L10" s="11" t="s">
        <v>11</v>
      </c>
      <c r="M10" s="11" t="s">
        <v>11</v>
      </c>
      <c r="N10" s="11" t="s">
        <v>11</v>
      </c>
      <c r="O10" s="11" t="s">
        <v>11</v>
      </c>
      <c r="P10" s="11" t="s">
        <v>11</v>
      </c>
      <c r="Q10" s="11"/>
      <c r="R10" s="11"/>
      <c r="S10" s="11" t="s">
        <v>11</v>
      </c>
      <c r="T10" s="11" t="s">
        <v>11</v>
      </c>
      <c r="U10" s="11" t="s">
        <v>11</v>
      </c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2">
        <f>IF(A10="","",(COUNTIF(C10:AG10,"✓")+COUNTIF(C10:AG10,"x")))</f>
        <v>13</v>
      </c>
      <c r="AI10" s="13">
        <f>IF(OR(A10="",N(B10)=0),"",AH10/B10)</f>
        <v>0.65</v>
      </c>
      <c r="AJ10" s="12">
        <f>IF(A10="","",COUNTIFS(C10:AG10,"✓",$C$6:$AG$6,"&gt;"&amp;(Today-7),$C$6:$AG$6,"&lt;="&amp;Today)+COUNTIFS(C10:AG10,"x",$C$6:$AG$6,"&gt;"&amp;(Today-7),$C$6:$AG$6,"&lt;="&amp;Today))</f>
        <v>4</v>
      </c>
    </row>
    <row r="11" spans="1:39" ht="20" customHeight="1" x14ac:dyDescent="0.25">
      <c r="A11" s="9" t="s">
        <v>14</v>
      </c>
      <c r="B11" s="10">
        <v>28</v>
      </c>
      <c r="C11" s="11" t="s">
        <v>11</v>
      </c>
      <c r="D11" s="11" t="s">
        <v>11</v>
      </c>
      <c r="E11" s="11" t="s">
        <v>11</v>
      </c>
      <c r="F11" s="11" t="s">
        <v>11</v>
      </c>
      <c r="G11" s="11" t="s">
        <v>11</v>
      </c>
      <c r="H11" s="11" t="s">
        <v>11</v>
      </c>
      <c r="I11" s="11" t="s">
        <v>11</v>
      </c>
      <c r="J11" s="11" t="s">
        <v>11</v>
      </c>
      <c r="K11" s="11" t="s">
        <v>11</v>
      </c>
      <c r="L11" s="11"/>
      <c r="M11" s="11" t="s">
        <v>11</v>
      </c>
      <c r="N11" s="11" t="s">
        <v>11</v>
      </c>
      <c r="O11" s="11" t="s">
        <v>11</v>
      </c>
      <c r="P11" s="11" t="s">
        <v>11</v>
      </c>
      <c r="Q11" s="11"/>
      <c r="R11" s="11" t="s">
        <v>11</v>
      </c>
      <c r="S11" s="11" t="s">
        <v>11</v>
      </c>
      <c r="T11" s="11" t="s">
        <v>11</v>
      </c>
      <c r="U11" s="11" t="s">
        <v>11</v>
      </c>
      <c r="V11" s="11" t="s">
        <v>11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2">
        <f>IF(A11="","",(COUNTIF(C11:AG11,"✓")+COUNTIF(C11:AG11,"x")))</f>
        <v>18</v>
      </c>
      <c r="AI11" s="13">
        <f>IF(OR(A11="",N(B11)=0),"",AH11/B11)</f>
        <v>0.6428571428571429</v>
      </c>
      <c r="AJ11" s="12">
        <f>IF(A11="","",COUNTIFS(C11:AG11,"✓",$C$6:$AG$6,"&gt;"&amp;(Today-7),$C$6:$AG$6,"&lt;="&amp;Today)+COUNTIFS(C11:AG11,"x",$C$6:$AG$6,"&gt;"&amp;(Today-7),$C$6:$AG$6,"&lt;="&amp;Today))</f>
        <v>6</v>
      </c>
    </row>
    <row r="12" spans="1:39" ht="20" customHeight="1" x14ac:dyDescent="0.25">
      <c r="A12" s="9" t="s">
        <v>15</v>
      </c>
      <c r="B12" s="10">
        <v>12</v>
      </c>
      <c r="C12" s="11"/>
      <c r="D12" s="11"/>
      <c r="E12" s="11" t="s">
        <v>11</v>
      </c>
      <c r="F12" s="11" t="s">
        <v>11</v>
      </c>
      <c r="G12" s="11"/>
      <c r="H12" s="11"/>
      <c r="I12" s="11"/>
      <c r="J12" s="11"/>
      <c r="K12" s="11"/>
      <c r="L12" s="11"/>
      <c r="M12" s="11" t="s">
        <v>11</v>
      </c>
      <c r="N12" s="11" t="s">
        <v>11</v>
      </c>
      <c r="O12" s="11"/>
      <c r="P12" s="11"/>
      <c r="Q12" s="11"/>
      <c r="R12" s="11"/>
      <c r="S12" s="11" t="s">
        <v>11</v>
      </c>
      <c r="T12" s="11" t="s">
        <v>11</v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2">
        <f>IF(A12="","",(COUNTIF(C12:AG12,"✓")+COUNTIF(C12:AG12,"x")))</f>
        <v>6</v>
      </c>
      <c r="AI12" s="13">
        <f>IF(OR(A12="",N(B12)=0),"",AH12/B12)</f>
        <v>0.5</v>
      </c>
      <c r="AJ12" s="12">
        <f>IF(A12="","",COUNTIFS(C12:AG12,"✓",$C$6:$AG$6,"&gt;"&amp;(Today-7),$C$6:$AG$6,"&lt;="&amp;Today)+COUNTIFS(C12:AG12,"x",$C$6:$AG$6,"&gt;"&amp;(Today-7),$C$6:$AG$6,"&lt;="&amp;Today))</f>
        <v>2</v>
      </c>
    </row>
    <row r="13" spans="1:39" ht="20" customHeight="1" x14ac:dyDescent="0.25">
      <c r="A13" s="9" t="s">
        <v>16</v>
      </c>
      <c r="B13" s="10">
        <v>20</v>
      </c>
      <c r="C13" s="11" t="s">
        <v>11</v>
      </c>
      <c r="D13" s="11" t="s">
        <v>11</v>
      </c>
      <c r="E13" s="11"/>
      <c r="F13" s="11"/>
      <c r="G13" s="11" t="s">
        <v>11</v>
      </c>
      <c r="H13" s="11" t="s">
        <v>11</v>
      </c>
      <c r="I13" s="11" t="s">
        <v>11</v>
      </c>
      <c r="J13" s="11" t="s">
        <v>11</v>
      </c>
      <c r="K13" s="11"/>
      <c r="L13" s="11"/>
      <c r="M13" s="11" t="s">
        <v>11</v>
      </c>
      <c r="N13" s="11" t="s">
        <v>11</v>
      </c>
      <c r="O13" s="11" t="s">
        <v>11</v>
      </c>
      <c r="P13" s="11"/>
      <c r="Q13" s="11"/>
      <c r="R13" s="11" t="s">
        <v>11</v>
      </c>
      <c r="S13" s="11" t="s">
        <v>11</v>
      </c>
      <c r="T13" s="11" t="s">
        <v>11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2">
        <f>IF(A13="","",(COUNTIF(C13:AG13,"✓")+COUNTIF(C13:AG13,"x")))</f>
        <v>12</v>
      </c>
      <c r="AI13" s="13">
        <f>IF(OR(A13="",N(B13)=0),"",AH13/B13)</f>
        <v>0.6</v>
      </c>
      <c r="AJ13" s="12">
        <f>IF(A13="","",COUNTIFS(C13:AG13,"✓",$C$6:$AG$6,"&gt;"&amp;(Today-7),$C$6:$AG$6,"&lt;="&amp;Today)+COUNTIFS(C13:AG13,"x",$C$6:$AG$6,"&gt;"&amp;(Today-7),$C$6:$AG$6,"&lt;="&amp;Today))</f>
        <v>3</v>
      </c>
    </row>
    <row r="14" spans="1:39" ht="20" customHeight="1" x14ac:dyDescent="0.25">
      <c r="A14" s="9" t="s">
        <v>17</v>
      </c>
      <c r="B14" s="10">
        <v>18</v>
      </c>
      <c r="C14" s="11" t="s">
        <v>11</v>
      </c>
      <c r="D14" s="11" t="s">
        <v>11</v>
      </c>
      <c r="E14" s="11" t="s">
        <v>11</v>
      </c>
      <c r="F14" s="11"/>
      <c r="G14" s="11" t="s">
        <v>11</v>
      </c>
      <c r="H14" s="11" t="s">
        <v>11</v>
      </c>
      <c r="I14" s="11"/>
      <c r="J14" s="11"/>
      <c r="K14" s="11" t="s">
        <v>11</v>
      </c>
      <c r="L14" s="11" t="s">
        <v>11</v>
      </c>
      <c r="M14" s="11" t="s">
        <v>11</v>
      </c>
      <c r="N14" s="11"/>
      <c r="O14" s="11"/>
      <c r="P14" s="11" t="s">
        <v>11</v>
      </c>
      <c r="Q14" s="11" t="s">
        <v>11</v>
      </c>
      <c r="R14" s="11" t="s">
        <v>11</v>
      </c>
      <c r="S14" s="11"/>
      <c r="T14" s="11"/>
      <c r="U14" s="11" t="s">
        <v>11</v>
      </c>
      <c r="V14" s="11" t="s">
        <v>11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2">
        <f>IF(A14="","",(COUNTIF(C14:AG14,"✓")+COUNTIF(C14:AG14,"x")))</f>
        <v>13</v>
      </c>
      <c r="AI14" s="13">
        <f>IF(OR(A14="",N(B14)=0),"",AH14/B14)</f>
        <v>0.7222222222222222</v>
      </c>
      <c r="AJ14" s="12">
        <f>IF(A14="","",COUNTIFS(C14:AG14,"✓",$C$6:$AG$6,"&gt;"&amp;(Today-7),$C$6:$AG$6,"&lt;="&amp;Today)+COUNTIFS(C14:AG14,"x",$C$6:$AG$6,"&gt;"&amp;(Today-7),$C$6:$AG$6,"&lt;="&amp;Today))</f>
        <v>5</v>
      </c>
    </row>
    <row r="15" spans="1:39" ht="20" customHeight="1" x14ac:dyDescent="0.25">
      <c r="A15" s="9" t="s">
        <v>18</v>
      </c>
      <c r="B15" s="10">
        <v>15</v>
      </c>
      <c r="C15" s="11" t="s">
        <v>11</v>
      </c>
      <c r="D15" s="11"/>
      <c r="E15" s="11"/>
      <c r="F15" s="11"/>
      <c r="G15" s="11" t="s">
        <v>11</v>
      </c>
      <c r="H15" s="11" t="s">
        <v>11</v>
      </c>
      <c r="I15" s="11"/>
      <c r="J15" s="11"/>
      <c r="K15" s="11"/>
      <c r="L15" s="11" t="s">
        <v>11</v>
      </c>
      <c r="M15" s="11" t="s">
        <v>11</v>
      </c>
      <c r="N15" s="11"/>
      <c r="O15" s="11"/>
      <c r="P15" s="11"/>
      <c r="Q15" s="11" t="s">
        <v>11</v>
      </c>
      <c r="R15" s="11" t="s">
        <v>11</v>
      </c>
      <c r="S15" s="11" t="s">
        <v>11</v>
      </c>
      <c r="T15" s="11"/>
      <c r="U15" s="11"/>
      <c r="V15" s="11" t="s">
        <v>11</v>
      </c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2">
        <f>IF(A15="","",(COUNTIF(C15:AG15,"✓")+COUNTIF(C15:AG15,"x")))</f>
        <v>9</v>
      </c>
      <c r="AI15" s="13">
        <f>IF(OR(A15="",N(B15)=0),"",AH15/B15)</f>
        <v>0.6</v>
      </c>
      <c r="AJ15" s="12">
        <f>IF(A15="","",COUNTIFS(C15:AG15,"✓",$C$6:$AG$6,"&gt;"&amp;(Today-7),$C$6:$AG$6,"&lt;="&amp;Today)+COUNTIFS(C15:AG15,"x",$C$6:$AG$6,"&gt;"&amp;(Today-7),$C$6:$AG$6,"&lt;="&amp;Today))</f>
        <v>4</v>
      </c>
    </row>
    <row r="16" spans="1:39" ht="20" customHeight="1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2">
        <f>IF(A16="","",(COUNTIF(C16:AG16,"✓")+COUNTIF(C16:AG16,"x")))</f>
        <v/>
      </c>
      <c r="AI16" s="13">
        <f>IF(OR(A16="",N(B16)=0),"",AH16/B16)</f>
        <v/>
      </c>
      <c r="AJ16" s="12">
        <f>IF(A16="","",COUNTIFS(C16:AG16,"✓",$C$6:$AG$6,"&gt;"&amp;(Today-7),$C$6:$AG$6,"&lt;="&amp;Today)+COUNTIFS(C16:AG16,"x",$C$6:$AG$6,"&gt;"&amp;(Today-7),$C$6:$AG$6,"&lt;="&amp;Today))</f>
        <v/>
      </c>
    </row>
    <row r="17" spans="1:36" ht="20" customHeight="1" x14ac:dyDescent="0.25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2">
        <f>IF(A17="","",(COUNTIF(C17:AG17,"✓")+COUNTIF(C17:AG17,"x")))</f>
        <v/>
      </c>
      <c r="AI17" s="13">
        <f>IF(OR(A17="",N(B17)=0),"",AH17/B17)</f>
        <v/>
      </c>
      <c r="AJ17" s="12">
        <f>IF(A17="","",COUNTIFS(C17:AG17,"✓",$C$6:$AG$6,"&gt;"&amp;(Today-7),$C$6:$AG$6,"&lt;="&amp;Today)+COUNTIFS(C17:AG17,"x",$C$6:$AG$6,"&gt;"&amp;(Today-7),$C$6:$AG$6,"&lt;="&amp;Today))</f>
        <v/>
      </c>
    </row>
    <row r="18" spans="1:36" ht="20" customHeight="1" x14ac:dyDescent="0.25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2">
        <f>IF(A18="","",(COUNTIF(C18:AG18,"✓")+COUNTIF(C18:AG18,"x")))</f>
        <v/>
      </c>
      <c r="AI18" s="13">
        <f>IF(OR(A18="",N(B18)=0),"",AH18/B18)</f>
        <v/>
      </c>
      <c r="AJ18" s="12">
        <f>IF(A18="","",COUNTIFS(C18:AG18,"✓",$C$6:$AG$6,"&gt;"&amp;(Today-7),$C$6:$AG$6,"&lt;="&amp;Today)+COUNTIFS(C18:AG18,"x",$C$6:$AG$6,"&gt;"&amp;(Today-7),$C$6:$AG$6,"&lt;="&amp;Today))</f>
        <v/>
      </c>
    </row>
    <row r="19" spans="1:36" ht="20" customHeight="1" x14ac:dyDescent="0.25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2">
        <f>IF(A19="","",(COUNTIF(C19:AG19,"✓")+COUNTIF(C19:AG19,"x")))</f>
        <v/>
      </c>
      <c r="AI19" s="13">
        <f>IF(OR(A19="",N(B19)=0),"",AH19/B19)</f>
        <v/>
      </c>
      <c r="AJ19" s="12">
        <f>IF(A19="","",COUNTIFS(C19:AG19,"✓",$C$6:$AG$6,"&gt;"&amp;(Today-7),$C$6:$AG$6,"&lt;="&amp;Today)+COUNTIFS(C19:AG19,"x",$C$6:$AG$6,"&gt;"&amp;(Today-7),$C$6:$AG$6,"&lt;="&amp;Today))</f>
        <v/>
      </c>
    </row>
    <row r="20" spans="1:36" ht="20" customHeight="1" x14ac:dyDescent="0.25">
      <c r="A20" s="14" t="s">
        <v>19</v>
      </c>
      <c r="C20" s="15">
        <f>IF(NOT(ISNUMBER(C$6)),"",COUNTIF(C8:C19,"✓")+COUNTIF(C8:C19,"x"))</f>
        <v>6</v>
      </c>
      <c r="D20" s="15">
        <f>IF(NOT(ISNUMBER(D$6)),"",COUNTIF(D8:D19,"✓")+COUNTIF(D8:D19,"x"))</f>
        <v>4</v>
      </c>
      <c r="E20" s="15">
        <f>IF(NOT(ISNUMBER(E$6)),"",COUNTIF(E8:E19,"✓")+COUNTIF(E8:E19,"x"))</f>
        <v>4</v>
      </c>
      <c r="F20" s="15">
        <f>IF(NOT(ISNUMBER(F$6)),"",COUNTIF(F8:F19,"✓")+COUNTIF(F8:F19,"x"))</f>
        <v>5</v>
      </c>
      <c r="G20" s="15">
        <f>IF(NOT(ISNUMBER(G$6)),"",COUNTIF(G8:G19,"✓")+COUNTIF(G8:G19,"x"))</f>
        <v>7</v>
      </c>
      <c r="H20" s="15">
        <f>IF(NOT(ISNUMBER(H$6)),"",COUNTIF(H8:H19,"✓")+COUNTIF(H8:H19,"x"))</f>
        <v>6</v>
      </c>
      <c r="I20" s="15">
        <f>IF(NOT(ISNUMBER(I$6)),"",COUNTIF(I8:I19,"✓")+COUNTIF(I8:I19,"x"))</f>
        <v>3</v>
      </c>
      <c r="J20" s="15">
        <f>IF(NOT(ISNUMBER(J$6)),"",COUNTIF(J8:J19,"✓")+COUNTIF(J8:J19,"x"))</f>
        <v>3</v>
      </c>
      <c r="K20" s="15">
        <f>IF(NOT(ISNUMBER(K$6)),"",COUNTIF(K8:K19,"✓")+COUNTIF(K8:K19,"x"))</f>
        <v>5</v>
      </c>
      <c r="L20" s="15">
        <f>IF(NOT(ISNUMBER(L$6)),"",COUNTIF(L8:L19,"✓")+COUNTIF(L8:L19,"x"))</f>
        <v>5</v>
      </c>
      <c r="M20" s="15">
        <f>IF(NOT(ISNUMBER(M$6)),"",COUNTIF(M8:M19,"✓")+COUNTIF(M8:M19,"x"))</f>
        <v>8</v>
      </c>
      <c r="N20" s="15">
        <f>IF(NOT(ISNUMBER(N$6)),"",COUNTIF(N8:N19,"✓")+COUNTIF(N8:N19,"x"))</f>
        <v>5</v>
      </c>
      <c r="O20" s="15">
        <f>IF(NOT(ISNUMBER(O$6)),"",COUNTIF(O8:O19,"✓")+COUNTIF(O8:O19,"x"))</f>
        <v>4</v>
      </c>
      <c r="P20" s="15">
        <f>IF(NOT(ISNUMBER(P$6)),"",COUNTIF(P8:P19,"✓")+COUNTIF(P8:P19,"x"))</f>
        <v>4</v>
      </c>
      <c r="Q20" s="15">
        <f>IF(NOT(ISNUMBER(Q$6)),"",COUNTIF(Q8:Q19,"✓")+COUNTIF(Q8:Q19,"x"))</f>
        <v>4</v>
      </c>
      <c r="R20" s="15">
        <f>IF(NOT(ISNUMBER(R$6)),"",COUNTIF(R8:R19,"✓")+COUNTIF(R8:R19,"x"))</f>
        <v>5</v>
      </c>
      <c r="S20" s="15">
        <f>IF(NOT(ISNUMBER(S$6)),"",COUNTIF(S8:S19,"✓")+COUNTIF(S8:S19,"x"))</f>
        <v>6</v>
      </c>
      <c r="T20" s="15">
        <f>IF(NOT(ISNUMBER(T$6)),"",COUNTIF(T8:T19,"✓")+COUNTIF(T8:T19,"x"))</f>
        <v>5</v>
      </c>
      <c r="U20" s="15">
        <f>IF(NOT(ISNUMBER(U$6)),"",COUNTIF(U8:U19,"✓")+COUNTIF(U8:U19,"x"))</f>
        <v>5</v>
      </c>
      <c r="V20" s="15">
        <f>IF(NOT(ISNUMBER(V$6)),"",COUNTIF(V8:V19,"✓")+COUNTIF(V8:V19,"x"))</f>
        <v>5</v>
      </c>
      <c r="W20" s="15">
        <f>IF(NOT(ISNUMBER(W$6)),"",COUNTIF(W8:W19,"✓")+COUNTIF(W8:W19,"x"))</f>
        <v>0</v>
      </c>
      <c r="X20" s="15">
        <f>IF(NOT(ISNUMBER(X$6)),"",COUNTIF(X8:X19,"✓")+COUNTIF(X8:X19,"x"))</f>
        <v>0</v>
      </c>
      <c r="Y20" s="15">
        <f>IF(NOT(ISNUMBER(Y$6)),"",COUNTIF(Y8:Y19,"✓")+COUNTIF(Y8:Y19,"x"))</f>
        <v>0</v>
      </c>
      <c r="Z20" s="15">
        <f>IF(NOT(ISNUMBER(Z$6)),"",COUNTIF(Z8:Z19,"✓")+COUNTIF(Z8:Z19,"x"))</f>
        <v>0</v>
      </c>
      <c r="AA20" s="15">
        <f>IF(NOT(ISNUMBER(AA$6)),"",COUNTIF(AA8:AA19,"✓")+COUNTIF(AA8:AA19,"x"))</f>
        <v>0</v>
      </c>
      <c r="AB20" s="15">
        <f>IF(NOT(ISNUMBER(AB$6)),"",COUNTIF(AB8:AB19,"✓")+COUNTIF(AB8:AB19,"x"))</f>
        <v>0</v>
      </c>
      <c r="AC20" s="15">
        <f>IF(NOT(ISNUMBER(AC$6)),"",COUNTIF(AC8:AC19,"✓")+COUNTIF(AC8:AC19,"x"))</f>
        <v>0</v>
      </c>
      <c r="AD20" s="15">
        <f>IF(NOT(ISNUMBER(AD$6)),"",COUNTIF(AD8:AD19,"✓")+COUNTIF(AD8:AD19,"x"))</f>
        <v>0</v>
      </c>
      <c r="AE20" s="15">
        <f>IF(NOT(ISNUMBER(AE$6)),"",COUNTIF(AE8:AE19,"✓")+COUNTIF(AE8:AE19,"x"))</f>
        <v>0</v>
      </c>
      <c r="AF20" s="15">
        <f>IF(NOT(ISNUMBER(AF$6)),"",COUNTIF(AF8:AF19,"✓")+COUNTIF(AF8:AF19,"x"))</f>
        <v>0</v>
      </c>
      <c r="AG20" s="15">
        <f>IF(NOT(ISNUMBER(AG$6)),"",COUNTIF(AG8:AG19,"✓")+COUNTIF(AG8:AG19,"x"))</f>
        <v>0</v>
      </c>
      <c r="AH20" s="15">
        <f>SUM(AH8:AH19)</f>
        <v>99</v>
      </c>
    </row>
  </sheetData>
  <mergeCells count="5">
    <mergeCell ref="A1:AG1"/>
    <mergeCell ref="A2:AG2"/>
    <mergeCell ref="B4:F4"/>
    <mergeCell ref="L4:P4"/>
    <mergeCell ref="R4:AG4"/>
  </mergeCells>
  <conditionalFormatting sqref="AI8:AI19">
    <cfRule type="dataBar" priority="5">
      <dataBar>
        <cfvo type="num" val="0"/>
        <cfvo type="num" val="1"/>
        <color rgb="FF7FB89E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C8:AG19">
    <cfRule type="expression" dxfId="0" priority="1" stopIfTrue="1">
      <formula>OR(C8="✓",LOWER(C8)="x")</formula>
    </cfRule>
    <cfRule type="expression" dxfId="1" priority="2" stopIfTrue="1">
      <formula>NOT(ISNUMBER(C$6))</formula>
    </cfRule>
    <cfRule type="expression" dxfId="2" priority="3" stopIfTrue="1">
      <formula>C$6=Today</formula>
    </cfRule>
    <cfRule type="expression" dxfId="3" priority="4">
      <formula>WEEKDAY(C$6,2)&gt;5</formula>
    </cfRule>
  </conditionalFormatting>
  <dataValidations count="1">
    <dataValidation type="list" errorStyle="warning" allowBlank="1" showInputMessage="1" showErrorMessage="1" errorTitle="Choose a listed value" error="Pick a value from the list. A typed value outside the list is flagged in the check column." sqref="C8:AG19">
      <formula1>"✓,x"</formula1>
    </dataValidation>
  </dataValidations>
  <pageMargins left="0.4" right="0.4" top="0.5" bottom="0.5" header="0.3" footer="0.3"/>
  <pageSetup paperSize="1" fitToHeight="0" orientation="landscape"/>
  <headerFooter>
    <oddHeader>&amp;LExcelCraft&amp;RTracker</oddHeader>
    <oddFooter>&amp;LOriginal CC0 workbook&amp;RPage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B89E"/>
              <x14:negativeFillColor rgb="FFFF0000"/>
              <x14:negativeBorderColor rgb="FFFF0000"/>
              <x14:axisColor rgb="FF000000"/>
            </x14:dataBar>
          </x14:cfRule>
          <xm:sqref>AI8:AI19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6"/>
  <sheetViews>
    <sheetView showGridLines="0" workbookViewId="0"/>
  </sheetViews>
  <sheetFormatPr defaultRowHeight="21" customHeight="1" x14ac:dyDescent="0.25"/>
  <cols>
    <col min="1" max="16" width="10.28515625" customWidth="1"/>
    <col min="17" max="26" width="14.7109375" style="3" customWidth="1"/>
  </cols>
  <sheetData>
    <row r="1" spans="1:16" ht="34" customHeight="1" x14ac:dyDescent="0.2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" customHeight="1" x14ac:dyDescent="0.25">
      <c r="A2" s="2" t="str">
        <f>TEXT(Month1,"mmmm yyyy")&amp;" / as of "&amp;TEXT(Today,"d mmm")</f>
        <v>October 2026 / as of 20 Oct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0" customHeight="1" x14ac:dyDescent="0.25"/>
    <row r="4" spans="1:16" ht="20" customHeight="1" x14ac:dyDescent="0.25">
      <c r="A4" s="16" t="s">
        <v>21</v>
      </c>
      <c r="B4" s="16"/>
      <c r="C4" s="16"/>
      <c r="E4" s="17" t="s">
        <v>22</v>
      </c>
      <c r="F4" s="17"/>
      <c r="G4" s="17"/>
      <c r="I4" s="18" t="s">
        <v>23</v>
      </c>
      <c r="J4" s="18"/>
      <c r="K4" s="18"/>
      <c r="M4" s="19" t="s">
        <v>24</v>
      </c>
      <c r="N4" s="19"/>
      <c r="O4" s="19"/>
    </row>
    <row r="5" spans="1:16" ht="27" customHeight="1" x14ac:dyDescent="0.25">
      <c r="A5" s="20">
        <f>COUNTIF(Tracker!$A$8:$A$19,"?*")</f>
        <v>8</v>
      </c>
      <c r="B5" s="20"/>
      <c r="C5" s="20"/>
      <c r="E5" s="21">
        <f>SUMPRODUCT(--(Tracker!$AH$8:$AH$19&lt;&gt;""),--(Tracker!$AH$8:$AH$19&gt;=Tracker!$B$8:$B$19*MAX(0,MIN(DAY(EOMONTH(Month1,0)),Today-Month1+1))/DAY(EOMONTH(Month1,0))))</f>
        <v>2</v>
      </c>
      <c r="F5" s="21"/>
      <c r="G5" s="21"/>
      <c r="I5" s="22">
        <f>IF(SUM(Tracker!$B$8:$B$19)=0,0,Tracker!AH20/SUMIFS(Tracker!$B$8:$B$19,Tracker!$A$8:$A$19,"?*"))</f>
        <v>0.6265822784810127</v>
      </c>
      <c r="J5" s="22"/>
      <c r="K5" s="22"/>
      <c r="M5" s="23">
        <f>SUM(Tracker!AJ8:AJ19)</f>
        <v>34</v>
      </c>
      <c r="N5" s="23"/>
      <c r="O5" s="23"/>
    </row>
    <row r="6" spans="1:16" ht="27" customHeight="1" x14ac:dyDescent="0.25">
      <c r="A6" s="20"/>
      <c r="B6" s="20"/>
      <c r="C6" s="20"/>
      <c r="E6" s="21"/>
      <c r="F6" s="21"/>
      <c r="G6" s="21"/>
      <c r="I6" s="22"/>
      <c r="J6" s="22"/>
      <c r="K6" s="22"/>
      <c r="M6" s="23"/>
      <c r="N6" s="23"/>
      <c r="O6" s="23"/>
    </row>
    <row r="7" spans="1:16" ht="21" customHeight="1" x14ac:dyDescent="0.25">
      <c r="A7" s="24" t="str">
        <f>Tracker!AH20&amp;" check-ins this month"</f>
        <v>99 check-ins this month</v>
      </c>
      <c r="B7" s="24"/>
      <c r="C7" s="24"/>
      <c r="E7" s="25" t="str">
        <f>"Ahead of the pace for their goal"</f>
        <v>Ahead of the pace for their goal</v>
      </c>
      <c r="F7" s="25"/>
      <c r="G7" s="25"/>
      <c r="I7" s="26" t="str">
        <f>"Of all monthly goals"</f>
        <v>Of all monthly goals</v>
      </c>
      <c r="J7" s="26"/>
      <c r="K7" s="26"/>
      <c r="M7" s="27" t="str">
        <f>"Check-ins in the past week"</f>
        <v>Check-ins in the past week</v>
      </c>
      <c r="N7" s="27"/>
      <c r="O7" s="27"/>
    </row>
    <row r="8" spans="1:16" ht="12" customHeight="1" x14ac:dyDescent="0.25"/>
    <row r="9" spans="1:16" ht="19" customHeight="1" x14ac:dyDescent="0.25"/>
    <row r="10" spans="1:16" ht="19" customHeight="1" x14ac:dyDescent="0.25"/>
    <row r="11" spans="1:16" ht="19" customHeight="1" x14ac:dyDescent="0.25"/>
    <row r="12" spans="1:16" ht="19" customHeight="1" x14ac:dyDescent="0.25"/>
    <row r="13" spans="1:16" ht="19" customHeight="1" x14ac:dyDescent="0.25"/>
    <row r="14" spans="1:16" ht="19" customHeight="1" x14ac:dyDescent="0.25"/>
    <row r="15" spans="1:16" ht="19" customHeight="1" x14ac:dyDescent="0.25"/>
    <row r="16" spans="1:16" ht="19" customHeight="1" x14ac:dyDescent="0.25"/>
    <row r="17" spans="1:16" ht="19" customHeight="1" x14ac:dyDescent="0.25"/>
    <row r="18" spans="1:16" ht="19" customHeight="1" x14ac:dyDescent="0.25"/>
    <row r="19" spans="1:16" ht="19" customHeight="1" x14ac:dyDescent="0.25"/>
    <row r="20" spans="1:16" ht="19" customHeight="1" x14ac:dyDescent="0.25"/>
    <row r="21" spans="1:16" ht="19" customHeight="1" x14ac:dyDescent="0.25"/>
    <row r="22" spans="1:16" ht="19" customHeight="1" x14ac:dyDescent="0.25"/>
    <row r="23" spans="1:16" ht="19" customHeight="1" x14ac:dyDescent="0.25">
      <c r="A23" s="28" t="s">
        <v>29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ht="21" customHeight="1" x14ac:dyDescent="0.25">
      <c r="A24" s="29" t="s">
        <v>25</v>
      </c>
      <c r="B24" s="29"/>
      <c r="C24" s="29"/>
      <c r="D24" s="29"/>
      <c r="E24" s="29"/>
      <c r="F24" s="29"/>
      <c r="G24" s="29"/>
      <c r="I24" s="29" t="s">
        <v>27</v>
      </c>
      <c r="J24" s="29"/>
      <c r="K24" s="29"/>
      <c r="L24" s="29"/>
    </row>
    <row r="25" spans="1:16" ht="30" customHeight="1" x14ac:dyDescent="0.25">
      <c r="A25" s="8" t="s">
        <v>5</v>
      </c>
      <c r="B25" s="8"/>
      <c r="C25" s="8"/>
      <c r="D25" s="8" t="s">
        <v>7</v>
      </c>
      <c r="E25" s="8" t="s">
        <v>6</v>
      </c>
      <c r="F25" s="8" t="s">
        <v>8</v>
      </c>
      <c r="G25" s="8" t="s">
        <v>26</v>
      </c>
      <c r="I25" s="8" t="s">
        <v>28</v>
      </c>
      <c r="J25" s="8"/>
      <c r="K25" s="8" t="s">
        <v>19</v>
      </c>
      <c r="L25" s="8"/>
    </row>
    <row r="26" spans="1:16" ht="21" customHeight="1" x14ac:dyDescent="0.25">
      <c r="A26" s="3" t="str">
        <f>IF(Tracker!A8="","",Tracker!A8)</f>
        <v>Walk 8,000 steps</v>
      </c>
      <c r="B26" s="3"/>
      <c r="C26" s="3"/>
      <c r="D26" s="12">
        <f>IF(A26="","",Tracker!AH8)</f>
        <v>16</v>
      </c>
      <c r="E26" s="12">
        <f>IF(A26="","",Tracker!B8)</f>
        <v>25</v>
      </c>
      <c r="F26" s="13">
        <f>IF(A26="","",Tracker!AI8)</f>
        <v>0.64</v>
      </c>
      <c r="G26" s="12">
        <f>IF(A26="","",Tracker!AJ8)</f>
        <v>5</v>
      </c>
      <c r="I26" s="30">
        <f>Tracker!C6</f>
        <v>46296.0</v>
      </c>
      <c r="J26" s="30"/>
      <c r="K26" s="12">
        <f>Tracker!C20</f>
        <v>6</v>
      </c>
      <c r="L26" s="12"/>
    </row>
    <row r="27" spans="1:16" ht="21" customHeight="1" x14ac:dyDescent="0.25">
      <c r="A27" s="3" t="str">
        <f>IF(Tracker!A9="","",Tracker!A9)</f>
        <v>Read 20 minutes</v>
      </c>
      <c r="B27" s="3"/>
      <c r="C27" s="3"/>
      <c r="D27" s="12">
        <f>IF(A27="","",Tracker!AH9)</f>
        <v>12</v>
      </c>
      <c r="E27" s="12">
        <f>IF(A27="","",Tracker!B9)</f>
        <v>20</v>
      </c>
      <c r="F27" s="13">
        <f>IF(A27="","",Tracker!AI9)</f>
        <v>0.6</v>
      </c>
      <c r="G27" s="12">
        <f>IF(A27="","",Tracker!AJ9)</f>
        <v>5</v>
      </c>
      <c r="I27" s="30">
        <f>Tracker!D6</f>
        <v>46297.0</v>
      </c>
      <c r="J27" s="30"/>
      <c r="K27" s="12">
        <f>Tracker!D20</f>
        <v>4</v>
      </c>
      <c r="L27" s="12"/>
    </row>
    <row r="28" spans="1:16" ht="21" customHeight="1" x14ac:dyDescent="0.25">
      <c r="A28" s="3" t="str">
        <f>IF(Tracker!A10="","",Tracker!A10)</f>
        <v>No phone after 10 pm</v>
      </c>
      <c r="B28" s="3"/>
      <c r="C28" s="3"/>
      <c r="D28" s="12">
        <f>IF(A28="","",Tracker!AH10)</f>
        <v>13</v>
      </c>
      <c r="E28" s="12">
        <f>IF(A28="","",Tracker!B10)</f>
        <v>20</v>
      </c>
      <c r="F28" s="13">
        <f>IF(A28="","",Tracker!AI10)</f>
        <v>0.65</v>
      </c>
      <c r="G28" s="12">
        <f>IF(A28="","",Tracker!AJ10)</f>
        <v>4</v>
      </c>
      <c r="I28" s="30">
        <f>Tracker!E6</f>
        <v>46298.0</v>
      </c>
      <c r="J28" s="30"/>
      <c r="K28" s="12">
        <f>Tracker!E20</f>
        <v>4</v>
      </c>
      <c r="L28" s="12"/>
    </row>
    <row r="29" spans="1:16" ht="21" customHeight="1" x14ac:dyDescent="0.25">
      <c r="A29" s="3" t="str">
        <f>IF(Tracker!A11="","",Tracker!A11)</f>
        <v>Drink 2 litres of water</v>
      </c>
      <c r="B29" s="3"/>
      <c r="C29" s="3"/>
      <c r="D29" s="12">
        <f>IF(A29="","",Tracker!AH11)</f>
        <v>18</v>
      </c>
      <c r="E29" s="12">
        <f>IF(A29="","",Tracker!B11)</f>
        <v>28</v>
      </c>
      <c r="F29" s="13">
        <f>IF(A29="","",Tracker!AI11)</f>
        <v>0.6428571428571429</v>
      </c>
      <c r="G29" s="12">
        <f>IF(A29="","",Tracker!AJ11)</f>
        <v>6</v>
      </c>
      <c r="I29" s="30">
        <f>Tracker!F6</f>
        <v>46299.0</v>
      </c>
      <c r="J29" s="30"/>
      <c r="K29" s="12">
        <f>Tracker!F20</f>
        <v>5</v>
      </c>
      <c r="L29" s="12"/>
    </row>
    <row r="30" spans="1:16" ht="21" customHeight="1" x14ac:dyDescent="0.25">
      <c r="A30" s="3" t="str">
        <f>IF(Tracker!A12="","",Tracker!A12)</f>
        <v>Stretch or yoga</v>
      </c>
      <c r="B30" s="3"/>
      <c r="C30" s="3"/>
      <c r="D30" s="12">
        <f>IF(A30="","",Tracker!AH12)</f>
        <v>6</v>
      </c>
      <c r="E30" s="12">
        <f>IF(A30="","",Tracker!B12)</f>
        <v>12</v>
      </c>
      <c r="F30" s="13">
        <f>IF(A30="","",Tracker!AI12)</f>
        <v>0.5</v>
      </c>
      <c r="G30" s="12">
        <f>IF(A30="","",Tracker!AJ12)</f>
        <v>2</v>
      </c>
      <c r="I30" s="30">
        <f>Tracker!G6</f>
        <v>46300.0</v>
      </c>
      <c r="J30" s="30"/>
      <c r="K30" s="12">
        <f>Tracker!G20</f>
        <v>7</v>
      </c>
      <c r="L30" s="12"/>
    </row>
    <row r="31" spans="1:16" ht="21" customHeight="1" x14ac:dyDescent="0.25">
      <c r="A31" s="3" t="str">
        <f>IF(Tracker!A13="","",Tracker!A13)</f>
        <v>Practice Spanish</v>
      </c>
      <c r="B31" s="3"/>
      <c r="C31" s="3"/>
      <c r="D31" s="12">
        <f>IF(A31="","",Tracker!AH13)</f>
        <v>12</v>
      </c>
      <c r="E31" s="12">
        <f>IF(A31="","",Tracker!B13)</f>
        <v>20</v>
      </c>
      <c r="F31" s="13">
        <f>IF(A31="","",Tracker!AI13)</f>
        <v>0.6</v>
      </c>
      <c r="G31" s="12">
        <f>IF(A31="","",Tracker!AJ13)</f>
        <v>3</v>
      </c>
      <c r="I31" s="30">
        <f>Tracker!H6</f>
        <v>46301.0</v>
      </c>
      <c r="J31" s="30"/>
      <c r="K31" s="12">
        <f>Tracker!H20</f>
        <v>6</v>
      </c>
      <c r="L31" s="12"/>
    </row>
    <row r="32" spans="1:16" ht="21" customHeight="1" x14ac:dyDescent="0.25">
      <c r="A32" s="3" t="str">
        <f>IF(Tracker!A14="","",Tracker!A14)</f>
        <v>Cook dinner at home</v>
      </c>
      <c r="B32" s="3"/>
      <c r="C32" s="3"/>
      <c r="D32" s="12">
        <f>IF(A32="","",Tracker!AH14)</f>
        <v>13</v>
      </c>
      <c r="E32" s="12">
        <f>IF(A32="","",Tracker!B14)</f>
        <v>18</v>
      </c>
      <c r="F32" s="13">
        <f>IF(A32="","",Tracker!AI14)</f>
        <v>0.7222222222222222</v>
      </c>
      <c r="G32" s="12">
        <f>IF(A32="","",Tracker!AJ14)</f>
        <v>5</v>
      </c>
      <c r="I32" s="30">
        <f>Tracker!I6</f>
        <v>46302.0</v>
      </c>
      <c r="J32" s="30"/>
      <c r="K32" s="12">
        <f>Tracker!I20</f>
        <v>3</v>
      </c>
      <c r="L32" s="12"/>
    </row>
    <row r="33" spans="1:12" ht="21" customHeight="1" x14ac:dyDescent="0.25">
      <c r="A33" s="3" t="str">
        <f>IF(Tracker!A15="","",Tracker!A15)</f>
        <v>Journal</v>
      </c>
      <c r="B33" s="3"/>
      <c r="C33" s="3"/>
      <c r="D33" s="12">
        <f>IF(A33="","",Tracker!AH15)</f>
        <v>9</v>
      </c>
      <c r="E33" s="12">
        <f>IF(A33="","",Tracker!B15)</f>
        <v>15</v>
      </c>
      <c r="F33" s="13">
        <f>IF(A33="","",Tracker!AI15)</f>
        <v>0.6</v>
      </c>
      <c r="G33" s="12">
        <f>IF(A33="","",Tracker!AJ15)</f>
        <v>4</v>
      </c>
      <c r="I33" s="30">
        <f>Tracker!J6</f>
        <v>46303.0</v>
      </c>
      <c r="J33" s="30"/>
      <c r="K33" s="12">
        <f>Tracker!J20</f>
        <v>3</v>
      </c>
      <c r="L33" s="12"/>
    </row>
    <row r="34" spans="1:12" ht="21" customHeight="1" x14ac:dyDescent="0.25">
      <c r="A34" s="3">
        <f>IF(Tracker!A16="","",Tracker!A16)</f>
        <v/>
      </c>
      <c r="B34" s="3"/>
      <c r="C34" s="3"/>
      <c r="D34" s="12">
        <f>IF(A34="","",Tracker!AH16)</f>
        <v/>
      </c>
      <c r="E34" s="12">
        <f>IF(A34="","",Tracker!B16)</f>
        <v/>
      </c>
      <c r="F34" s="13">
        <f>IF(A34="","",Tracker!AI16)</f>
        <v/>
      </c>
      <c r="G34" s="12">
        <f>IF(A34="","",Tracker!AJ16)</f>
        <v/>
      </c>
      <c r="I34" s="30">
        <f>Tracker!K6</f>
        <v>46304.0</v>
      </c>
      <c r="J34" s="30"/>
      <c r="K34" s="12">
        <f>Tracker!K20</f>
        <v>5</v>
      </c>
      <c r="L34" s="12"/>
    </row>
    <row r="35" spans="1:12" ht="21" customHeight="1" x14ac:dyDescent="0.25">
      <c r="A35" s="3">
        <f>IF(Tracker!A17="","",Tracker!A17)</f>
        <v/>
      </c>
      <c r="B35" s="3"/>
      <c r="C35" s="3"/>
      <c r="D35" s="12">
        <f>IF(A35="","",Tracker!AH17)</f>
        <v/>
      </c>
      <c r="E35" s="12">
        <f>IF(A35="","",Tracker!B17)</f>
        <v/>
      </c>
      <c r="F35" s="13">
        <f>IF(A35="","",Tracker!AI17)</f>
        <v/>
      </c>
      <c r="G35" s="12">
        <f>IF(A35="","",Tracker!AJ17)</f>
        <v/>
      </c>
      <c r="I35" s="30">
        <f>Tracker!L6</f>
        <v>46305.0</v>
      </c>
      <c r="J35" s="30"/>
      <c r="K35" s="12">
        <f>Tracker!L20</f>
        <v>5</v>
      </c>
      <c r="L35" s="12"/>
    </row>
    <row r="36" spans="1:12" ht="21" customHeight="1" x14ac:dyDescent="0.25">
      <c r="A36" s="3">
        <f>IF(Tracker!A18="","",Tracker!A18)</f>
        <v/>
      </c>
      <c r="B36" s="3"/>
      <c r="C36" s="3"/>
      <c r="D36" s="12">
        <f>IF(A36="","",Tracker!AH18)</f>
        <v/>
      </c>
      <c r="E36" s="12">
        <f>IF(A36="","",Tracker!B18)</f>
        <v/>
      </c>
      <c r="F36" s="13">
        <f>IF(A36="","",Tracker!AI18)</f>
        <v/>
      </c>
      <c r="G36" s="12">
        <f>IF(A36="","",Tracker!AJ18)</f>
        <v/>
      </c>
      <c r="I36" s="30">
        <f>Tracker!M6</f>
        <v>46306.0</v>
      </c>
      <c r="J36" s="30"/>
      <c r="K36" s="12">
        <f>Tracker!M20</f>
        <v>8</v>
      </c>
      <c r="L36" s="12"/>
    </row>
    <row r="37" spans="1:12" ht="21" customHeight="1" x14ac:dyDescent="0.25">
      <c r="A37" s="3">
        <f>IF(Tracker!A19="","",Tracker!A19)</f>
        <v/>
      </c>
      <c r="B37" s="3"/>
      <c r="C37" s="3"/>
      <c r="D37" s="12">
        <f>IF(A37="","",Tracker!AH19)</f>
        <v/>
      </c>
      <c r="E37" s="12">
        <f>IF(A37="","",Tracker!B19)</f>
        <v/>
      </c>
      <c r="F37" s="13">
        <f>IF(A37="","",Tracker!AI19)</f>
        <v/>
      </c>
      <c r="G37" s="12">
        <f>IF(A37="","",Tracker!AJ19)</f>
        <v/>
      </c>
      <c r="I37" s="30">
        <f>Tracker!N6</f>
        <v>46307.0</v>
      </c>
      <c r="J37" s="30"/>
      <c r="K37" s="12">
        <f>Tracker!N20</f>
        <v>5</v>
      </c>
      <c r="L37" s="12"/>
    </row>
    <row r="38" spans="1:12" ht="21" customHeight="1" x14ac:dyDescent="0.25">
      <c r="I38" s="30">
        <f>Tracker!O6</f>
        <v>46308.0</v>
      </c>
      <c r="J38" s="30"/>
      <c r="K38" s="12">
        <f>Tracker!O20</f>
        <v>4</v>
      </c>
      <c r="L38" s="12"/>
    </row>
    <row r="39" spans="1:12" ht="21" customHeight="1" x14ac:dyDescent="0.25">
      <c r="I39" s="30">
        <f>Tracker!P6</f>
        <v>46309.0</v>
      </c>
      <c r="J39" s="30"/>
      <c r="K39" s="12">
        <f>Tracker!P20</f>
        <v>4</v>
      </c>
      <c r="L39" s="12"/>
    </row>
    <row r="40" spans="1:12" ht="21" customHeight="1" x14ac:dyDescent="0.25">
      <c r="I40" s="30">
        <f>Tracker!Q6</f>
        <v>46310.0</v>
      </c>
      <c r="J40" s="30"/>
      <c r="K40" s="12">
        <f>Tracker!Q20</f>
        <v>4</v>
      </c>
      <c r="L40" s="12"/>
    </row>
    <row r="41" spans="1:12" ht="21" customHeight="1" x14ac:dyDescent="0.25">
      <c r="I41" s="30">
        <f>Tracker!R6</f>
        <v>46311.0</v>
      </c>
      <c r="J41" s="30"/>
      <c r="K41" s="12">
        <f>Tracker!R20</f>
        <v>5</v>
      </c>
      <c r="L41" s="12"/>
    </row>
    <row r="42" spans="1:12" ht="21" customHeight="1" x14ac:dyDescent="0.25">
      <c r="I42" s="30">
        <f>Tracker!S6</f>
        <v>46312.0</v>
      </c>
      <c r="J42" s="30"/>
      <c r="K42" s="12">
        <f>Tracker!S20</f>
        <v>6</v>
      </c>
      <c r="L42" s="12"/>
    </row>
    <row r="43" spans="1:12" ht="21" customHeight="1" x14ac:dyDescent="0.25">
      <c r="I43" s="30">
        <f>Tracker!T6</f>
        <v>46313.0</v>
      </c>
      <c r="J43" s="30"/>
      <c r="K43" s="12">
        <f>Tracker!T20</f>
        <v>5</v>
      </c>
      <c r="L43" s="12"/>
    </row>
    <row r="44" spans="1:12" ht="21" customHeight="1" x14ac:dyDescent="0.25">
      <c r="I44" s="30">
        <f>Tracker!U6</f>
        <v>46314.0</v>
      </c>
      <c r="J44" s="30"/>
      <c r="K44" s="12">
        <f>Tracker!U20</f>
        <v>5</v>
      </c>
      <c r="L44" s="12"/>
    </row>
    <row r="45" spans="1:12" ht="21" customHeight="1" x14ac:dyDescent="0.25">
      <c r="I45" s="30">
        <f>Tracker!V6</f>
        <v>46315.0</v>
      </c>
      <c r="J45" s="30"/>
      <c r="K45" s="12">
        <f>Tracker!V20</f>
        <v>5</v>
      </c>
      <c r="L45" s="12"/>
    </row>
    <row r="46" spans="1:12" ht="21" customHeight="1" x14ac:dyDescent="0.25">
      <c r="I46" s="30">
        <f>Tracker!W6</f>
        <v>46316.0</v>
      </c>
      <c r="J46" s="30"/>
      <c r="K46" s="12">
        <f>Tracker!W20</f>
        <v>0</v>
      </c>
      <c r="L46" s="12"/>
    </row>
    <row r="47" spans="1:12" ht="21" customHeight="1" x14ac:dyDescent="0.25">
      <c r="I47" s="30">
        <f>Tracker!X6</f>
        <v>46317.0</v>
      </c>
      <c r="J47" s="30"/>
      <c r="K47" s="12">
        <f>Tracker!X20</f>
        <v>0</v>
      </c>
      <c r="L47" s="12"/>
    </row>
    <row r="48" spans="1:12" ht="21" customHeight="1" x14ac:dyDescent="0.25">
      <c r="I48" s="30">
        <f>Tracker!Y6</f>
        <v>46318.0</v>
      </c>
      <c r="J48" s="30"/>
      <c r="K48" s="12">
        <f>Tracker!Y20</f>
        <v>0</v>
      </c>
      <c r="L48" s="12"/>
    </row>
    <row r="49" spans="9:12" ht="21" customHeight="1" x14ac:dyDescent="0.25">
      <c r="I49" s="30">
        <f>Tracker!Z6</f>
        <v>46319.0</v>
      </c>
      <c r="J49" s="30"/>
      <c r="K49" s="12">
        <f>Tracker!Z20</f>
        <v>0</v>
      </c>
      <c r="L49" s="12"/>
    </row>
    <row r="50" spans="9:12" ht="21" customHeight="1" x14ac:dyDescent="0.25">
      <c r="I50" s="30">
        <f>Tracker!AA6</f>
        <v>46320.0</v>
      </c>
      <c r="J50" s="30"/>
      <c r="K50" s="12">
        <f>Tracker!AA20</f>
        <v>0</v>
      </c>
      <c r="L50" s="12"/>
    </row>
    <row r="51" spans="9:12" ht="21" customHeight="1" x14ac:dyDescent="0.25">
      <c r="I51" s="30">
        <f>Tracker!AB6</f>
        <v>46321.0</v>
      </c>
      <c r="J51" s="30"/>
      <c r="K51" s="12">
        <f>Tracker!AB20</f>
        <v>0</v>
      </c>
      <c r="L51" s="12"/>
    </row>
    <row r="52" spans="9:12" ht="21" customHeight="1" x14ac:dyDescent="0.25">
      <c r="I52" s="30">
        <f>Tracker!AC6</f>
        <v>46322.0</v>
      </c>
      <c r="J52" s="30"/>
      <c r="K52" s="12">
        <f>Tracker!AC20</f>
        <v>0</v>
      </c>
      <c r="L52" s="12"/>
    </row>
    <row r="53" spans="9:12" ht="21" customHeight="1" x14ac:dyDescent="0.25">
      <c r="I53" s="30">
        <f>Tracker!AD6</f>
        <v>46323.0</v>
      </c>
      <c r="J53" s="30"/>
      <c r="K53" s="12">
        <f>Tracker!AD20</f>
        <v>0</v>
      </c>
      <c r="L53" s="12"/>
    </row>
    <row r="54" spans="9:12" ht="21" customHeight="1" x14ac:dyDescent="0.25">
      <c r="I54" s="30">
        <f>Tracker!AE6</f>
        <v>46324.0</v>
      </c>
      <c r="J54" s="30"/>
      <c r="K54" s="12">
        <f>Tracker!AE20</f>
        <v>0</v>
      </c>
      <c r="L54" s="12"/>
    </row>
    <row r="55" spans="9:12" ht="21" customHeight="1" x14ac:dyDescent="0.25">
      <c r="I55" s="30">
        <f>Tracker!AF6</f>
        <v>46325.0</v>
      </c>
      <c r="J55" s="30"/>
      <c r="K55" s="12">
        <f>Tracker!AF20</f>
        <v>0</v>
      </c>
      <c r="L55" s="12"/>
    </row>
    <row r="56" spans="9:12" ht="21" customHeight="1" x14ac:dyDescent="0.25">
      <c r="I56" s="30">
        <f>Tracker!AG6</f>
        <v>46326.0</v>
      </c>
      <c r="J56" s="30"/>
      <c r="K56" s="12">
        <f>Tracker!AG20</f>
        <v>0</v>
      </c>
      <c r="L56" s="12"/>
    </row>
  </sheetData>
  <mergeCells count="94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G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I24:L24"/>
    <mergeCell ref="I25:J25"/>
    <mergeCell ref="K25:L25"/>
    <mergeCell ref="I26:J26"/>
    <mergeCell ref="K26:L26"/>
    <mergeCell ref="I27:J27"/>
    <mergeCell ref="K27:L27"/>
    <mergeCell ref="I28:J28"/>
    <mergeCell ref="K28:L28"/>
    <mergeCell ref="I29:J29"/>
    <mergeCell ref="K29:L29"/>
    <mergeCell ref="I30:J30"/>
    <mergeCell ref="K30:L30"/>
    <mergeCell ref="I31:J31"/>
    <mergeCell ref="K31:L31"/>
    <mergeCell ref="I32:J32"/>
    <mergeCell ref="K32:L32"/>
    <mergeCell ref="I33:J33"/>
    <mergeCell ref="K33:L33"/>
    <mergeCell ref="I34:J34"/>
    <mergeCell ref="K34:L34"/>
    <mergeCell ref="I35:J35"/>
    <mergeCell ref="K35:L35"/>
    <mergeCell ref="I36:J36"/>
    <mergeCell ref="K36:L36"/>
    <mergeCell ref="I37:J37"/>
    <mergeCell ref="K37:L37"/>
    <mergeCell ref="I38:J38"/>
    <mergeCell ref="K38:L38"/>
    <mergeCell ref="I39:J39"/>
    <mergeCell ref="K39:L39"/>
    <mergeCell ref="I40:J40"/>
    <mergeCell ref="K40:L40"/>
    <mergeCell ref="I41:J41"/>
    <mergeCell ref="K41:L41"/>
    <mergeCell ref="I42:J42"/>
    <mergeCell ref="K42:L42"/>
    <mergeCell ref="I43:J43"/>
    <mergeCell ref="K43:L43"/>
    <mergeCell ref="I44:J44"/>
    <mergeCell ref="K44:L44"/>
    <mergeCell ref="I45:J45"/>
    <mergeCell ref="K45:L45"/>
    <mergeCell ref="I46:J46"/>
    <mergeCell ref="K46:L46"/>
    <mergeCell ref="I47:J47"/>
    <mergeCell ref="K47:L47"/>
    <mergeCell ref="I48:J48"/>
    <mergeCell ref="K48:L48"/>
    <mergeCell ref="I49:J49"/>
    <mergeCell ref="K49:L49"/>
    <mergeCell ref="I50:J50"/>
    <mergeCell ref="K50:L50"/>
    <mergeCell ref="I51:J51"/>
    <mergeCell ref="K51:L51"/>
    <mergeCell ref="I52:J52"/>
    <mergeCell ref="K52:L52"/>
    <mergeCell ref="I53:J53"/>
    <mergeCell ref="K53:L53"/>
    <mergeCell ref="I54:J54"/>
    <mergeCell ref="K54:L54"/>
    <mergeCell ref="I55:J55"/>
    <mergeCell ref="K55:L55"/>
    <mergeCell ref="I56:J56"/>
    <mergeCell ref="K56:L56"/>
    <mergeCell ref="A23:P23"/>
  </mergeCells>
  <conditionalFormatting sqref="F26:F37">
    <cfRule type="dataBar" priority="1">
      <dataBar>
        <cfvo type="num" val="0"/>
        <cfvo type="num" val="1"/>
        <color rgb="FF7FB89E"/>
      </dataBar>
      <extLst>
        <ext xmlns:x14="http://schemas.microsoft.com/office/spreadsheetml/2009/9/main" uri="{B025F937-C7B1-47D3-B67F-A62EFF666E3E}">
          <x14:id>{DA7ABA51-AAAA-BBBB-0002-000000000001}</x14:id>
        </ext>
      </extLst>
    </cfRule>
  </conditionalFormatting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2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B89E"/>
              <x14:negativeFillColor rgb="FFFF0000"/>
              <x14:negativeBorderColor rgb="FFFF0000"/>
              <x14:axisColor rgb="FF000000"/>
            </x14:dataBar>
          </x14:cfRule>
          <xm:sqref>F26:F37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1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3" customWidth="1"/>
  </cols>
  <sheetData>
    <row r="1" spans="1:2" ht="34" customHeight="1">
      <c r="A1" s="1" t="s">
        <v>30</v>
      </c>
      <c r="B1" s="1"/>
    </row>
    <row r="2" spans="1:2" ht="21" customHeight="1">
      <c r="A2" s="2" t="s">
        <v>31</v>
      </c>
      <c r="B2" s="2"/>
    </row>
    <row r="4" spans="1:2" ht="30" customHeight="1">
      <c r="A4" s="8" t="s">
        <v>32</v>
      </c>
      <c r="B4" s="28" t="s">
        <v>33</v>
      </c>
    </row>
    <row r="5" spans="1:2" ht="40" customHeight="1">
      <c r="A5" s="8" t="s">
        <v>34</v>
      </c>
      <c r="B5" s="28" t="s">
        <v>35</v>
      </c>
    </row>
    <row r="6" spans="1:2" ht="30" customHeight="1">
      <c r="A6" s="8" t="s">
        <v>36</v>
      </c>
      <c r="B6" s="28" t="s">
        <v>37</v>
      </c>
    </row>
    <row r="7" spans="1:2" ht="30" customHeight="1">
      <c r="A7" s="8" t="s">
        <v>38</v>
      </c>
      <c r="B7" s="28" t="s">
        <v>39</v>
      </c>
    </row>
    <row r="8" spans="1:2" ht="40" customHeight="1">
      <c r="A8" s="8" t="s">
        <v>40</v>
      </c>
      <c r="B8" s="28" t="s">
        <v>41</v>
      </c>
    </row>
    <row r="9" spans="1:2" ht="30" customHeight="1">
      <c r="A9" s="8" t="s">
        <v>42</v>
      </c>
      <c r="B9" s="28" t="s">
        <v>43</v>
      </c>
    </row>
    <row r="10" spans="1:2" ht="40" customHeight="1">
      <c r="A10" s="8" t="s">
        <v>44</v>
      </c>
      <c r="B10" s="28" t="s">
        <v>45</v>
      </c>
    </row>
    <row r="11" spans="1:2" ht="40" customHeight="1">
      <c r="A11" s="8" t="s">
        <v>46</v>
      </c>
      <c r="B11" s="28" t="s">
        <v>47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Tracker</vt:lpstr>
      <vt:lpstr>Summary</vt:lpstr>
      <vt:lpstr>Instructions</vt:lpstr>
      <vt:lpstr>Month1</vt:lpstr>
      <vt:lpstr>Tracker!Print_Area</vt:lpstr>
      <vt:lpstr>Today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Habit Tracker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